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home2017imac/Documents/Docs - UMC/Congregational Development/Vital Congregations/Vital Congregational Anaylsis/Analytical Tools v7.0/"/>
    </mc:Choice>
  </mc:AlternateContent>
  <xr:revisionPtr revIDLastSave="0" documentId="8_{3B4DBD99-4DF7-D44A-89A9-AC7F41BC8A1A}" xr6:coauthVersionLast="47" xr6:coauthVersionMax="47" xr10:uidLastSave="{00000000-0000-0000-0000-000000000000}"/>
  <bookViews>
    <workbookView xWindow="0" yWindow="500" windowWidth="18940" windowHeight="19380" xr2:uid="{00000000-000D-0000-FFFF-FFFF00000000}"/>
  </bookViews>
  <sheets>
    <sheet name="Sheet 1 - Church_  ABC Churc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G20" i="1"/>
  <c r="H17" i="1"/>
  <c r="F17" i="1"/>
  <c r="D17" i="1"/>
  <c r="B17" i="1"/>
  <c r="I14" i="1"/>
  <c r="E23" i="1" s="1"/>
  <c r="C10" i="1"/>
  <c r="E7" i="1"/>
  <c r="C7" i="1"/>
  <c r="G4" i="1"/>
  <c r="E10" i="1" s="1"/>
  <c r="H22" i="1" l="1"/>
</calcChain>
</file>

<file path=xl/sharedStrings.xml><?xml version="1.0" encoding="utf-8"?>
<sst xmlns="http://schemas.openxmlformats.org/spreadsheetml/2006/main" count="49" uniqueCount="49">
  <si>
    <t>Financial Sustainability</t>
  </si>
  <si>
    <t>Property Insurance Owed Last Year ($)</t>
  </si>
  <si>
    <t>Property Insurance Paid Last Year ($)</t>
  </si>
  <si>
    <t>Health Insurance and Pension Owed Last Year ($)</t>
  </si>
  <si>
    <t>Health Insurance and Pension  Paid Last Year ($) Stat 39 &amp; 40</t>
  </si>
  <si>
    <t>ApportionmentOwed Last Year ($) Stat 28a &amp; 28b</t>
  </si>
  <si>
    <t>Apportionments Paid Last Year ($) Stat 29a &amp; 29b</t>
  </si>
  <si>
    <t>Factor for Cost of UMC Ministry</t>
  </si>
  <si>
    <t>Total Income for Annual Budget/Spending Plan ($)  Stat 52</t>
  </si>
  <si>
    <t>Largest Single Income Source Last Year ($)</t>
  </si>
  <si>
    <t>Factor for Largest Income Source; Less Than 10%of Total Income is Ideal</t>
  </si>
  <si>
    <t>Total Amount Paid on All Expenditures Last Year ($)  (Stat 50)</t>
  </si>
  <si>
    <t>Factor For Money Spent Versus Total Income Ratio</t>
  </si>
  <si>
    <t>Market Value of Land, Buildings, Vehicles, &amp; Equipment ($)(Stat 24)</t>
  </si>
  <si>
    <t>Amount Paid on Capital Expenditures ($) (Stat 49)    Goal 1.5% of market value</t>
  </si>
  <si>
    <t>Factor For Capital Improvements</t>
  </si>
  <si>
    <t>Overall Financial Sustainability Factor</t>
  </si>
  <si>
    <t>Spiritual Vitality</t>
  </si>
  <si>
    <t>In-person Worship Attendance Two Years Ago           (Stat 7)</t>
  </si>
  <si>
    <t>Online Worship Attendance Two Years Ago           (Stat 7a)</t>
  </si>
  <si>
    <t>In-person Worship Attendance Four Years Ago           (Stat 7)</t>
  </si>
  <si>
    <t>Online Worship Attendance Four Years Ago         (Stat 7a)</t>
  </si>
  <si>
    <t>Factor for Worship Attendance Trend           5% Growth is Excellent</t>
  </si>
  <si>
    <t>People Praying Communally Average per Week</t>
  </si>
  <si>
    <t xml:space="preserve">Factor for Prayer Ideal is 15% of Worship Attendance </t>
  </si>
  <si>
    <t>Total Christian Formation Group Participants  (Stat 11)</t>
  </si>
  <si>
    <t>Factor for Total Christian Formation Group Participants  50% 0f In-person Worship Attendance (Stat 7) is Excellent</t>
  </si>
  <si>
    <t>Total Mission Giving Last Year excluding apportionments (Total of Stats 18b,19b,30,31,32,33,34,35,36,37, &amp; 38)</t>
  </si>
  <si>
    <t>Factor for Mission Giving           10% of Income Received is Excellent</t>
  </si>
  <si>
    <t>Weekly Average People Sent Out in Mission &amp; Justice Last Year (Total Stats 20b,22)</t>
  </si>
  <si>
    <t>Factor for People Sent Out in Mission &amp; Justice     10% of In-person Worship Attendance (Stat 7) is Excellent</t>
  </si>
  <si>
    <t>Confirmation Professions of Faith Last Year        (Stat 2a)</t>
  </si>
  <si>
    <t>Other Professions of Faith Last Year          (Stat 2b)</t>
  </si>
  <si>
    <t>Confirmation Professions of Faith Two Years Ago      (Stat 2a)</t>
  </si>
  <si>
    <t>Other Professions of Faith Two Years Ago      (Stat 2b)</t>
  </si>
  <si>
    <t>Confirmation Professions of Faith Three Years Ago        (Stat 2a)</t>
  </si>
  <si>
    <t>Other Professions of Faith Three Years Ago        (Stat 2b)</t>
  </si>
  <si>
    <t>Factor for Total Professions of Faith          (Stat 2a+2b)         5% In-person Worship Attendance (Stat 7) is Excellent</t>
  </si>
  <si>
    <t>Total Number Baptisms Last Year (Stat 8)</t>
  </si>
  <si>
    <t>Total Number Baptisms Two Years Ago   (Stat 8)</t>
  </si>
  <si>
    <t>Total Number Baptisms Three Years Ago (Stat 8)</t>
  </si>
  <si>
    <t xml:space="preserve">Factor for Baptisms 5% In-person Worship Attendance (Stat 7) is Excellent      </t>
  </si>
  <si>
    <t>Overall Spiritual Vitality Factor</t>
  </si>
  <si>
    <t>Combined Financial Sustainability and Spiritual Vitality Factor</t>
  </si>
  <si>
    <t>Church Information: Any UMC, Town, Pastor Paul Smith, 555-555-5555</t>
  </si>
  <si>
    <t>In-person Worship Attendance Three Years Ago              (Stat 7)</t>
  </si>
  <si>
    <t>Online Worship Attendance Three Years Ago               (Stat 7a)</t>
  </si>
  <si>
    <t>Online Worship Attendance Last Year.     (Stat 7a)</t>
  </si>
  <si>
    <t>In-person Worship Attendance Last Year.     (Stat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</si>
</sst>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color indexed="8"/>
      <name val="Helvetica Neue"/>
    </font>
    <font>
      <b/>
      <sz val="10"/>
      <color indexed="8"/>
      <name val="Helvetica Neue"/>
    </font>
    <font>
      <b/>
      <sz val="15"/>
      <color indexed="8"/>
      <name val="Helvetica Neue"/>
    </font>
    <font>
      <sz val="10"/>
      <color indexed="8"/>
      <name val="Helvetica"/>
    </font>
    <font>
      <b/>
      <sz val="10"/>
      <color indexed="8"/>
      <name val="Helvetica"/>
    </font>
    <font>
      <b/>
      <u/>
      <sz val="10"/>
      <color indexed="8"/>
      <name val="Helvetica"/>
    </font>
    <font>
      <b/>
      <sz val="22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9"/>
      </right>
      <top/>
      <bottom style="thin">
        <color indexed="10"/>
      </bottom>
      <diagonal/>
    </border>
    <border>
      <left style="thin">
        <color indexed="9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13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9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/>
      <right/>
      <top style="thin">
        <color indexed="13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13"/>
      </left>
      <right style="thin">
        <color indexed="17"/>
      </right>
      <top style="thin">
        <color indexed="8"/>
      </top>
      <bottom style="thin">
        <color indexed="13"/>
      </bottom>
      <diagonal/>
    </border>
    <border>
      <left style="thin">
        <color indexed="17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10"/>
      </bottom>
      <diagonal/>
    </border>
    <border>
      <left style="thin">
        <color indexed="9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0" fillId="0" borderId="10" xfId="0" applyNumberFormat="1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 readingOrder="1"/>
    </xf>
    <xf numFmtId="164" fontId="3" fillId="0" borderId="13" xfId="0" applyNumberFormat="1" applyFont="1" applyBorder="1" applyAlignment="1">
      <alignment horizontal="center" vertical="center" wrapText="1" readingOrder="1"/>
    </xf>
    <xf numFmtId="164" fontId="3" fillId="0" borderId="8" xfId="0" applyNumberFormat="1" applyFont="1" applyBorder="1" applyAlignment="1">
      <alignment horizontal="center" vertical="center" wrapText="1" readingOrder="1"/>
    </xf>
    <xf numFmtId="164" fontId="0" fillId="0" borderId="3" xfId="0" applyNumberFormat="1" applyFont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0" fontId="0" fillId="0" borderId="18" xfId="0" applyFont="1" applyBorder="1" applyAlignment="1">
      <alignment vertical="top" wrapText="1"/>
    </xf>
    <xf numFmtId="164" fontId="0" fillId="3" borderId="19" xfId="0" applyNumberFormat="1" applyFont="1" applyFill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 readingOrder="1"/>
    </xf>
    <xf numFmtId="0" fontId="0" fillId="0" borderId="22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49" fontId="1" fillId="4" borderId="24" xfId="0" applyNumberFormat="1" applyFont="1" applyFill="1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164" fontId="3" fillId="3" borderId="25" xfId="0" applyNumberFormat="1" applyFont="1" applyFill="1" applyBorder="1" applyAlignment="1">
      <alignment horizontal="center" vertical="center" wrapText="1" readingOrder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0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4" fillId="5" borderId="7" xfId="0" applyNumberFormat="1" applyFont="1" applyFill="1" applyBorder="1" applyAlignment="1">
      <alignment horizontal="center" vertical="center" wrapText="1" readingOrder="1"/>
    </xf>
    <xf numFmtId="49" fontId="1" fillId="5" borderId="7" xfId="0" applyNumberFormat="1" applyFont="1" applyFill="1" applyBorder="1" applyAlignment="1">
      <alignment horizontal="center" vertical="top" wrapText="1"/>
    </xf>
    <xf numFmtId="49" fontId="4" fillId="2" borderId="9" xfId="0" applyNumberFormat="1" applyFont="1" applyFill="1" applyBorder="1" applyAlignment="1">
      <alignment horizontal="center" vertical="center" wrapText="1" readingOrder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 readingOrder="1"/>
    </xf>
    <xf numFmtId="0" fontId="3" fillId="3" borderId="29" xfId="0" applyNumberFormat="1" applyFont="1" applyFill="1" applyBorder="1" applyAlignment="1">
      <alignment horizontal="center" vertical="center" wrapText="1" readingOrder="1"/>
    </xf>
    <xf numFmtId="49" fontId="4" fillId="5" borderId="8" xfId="0" applyNumberFormat="1" applyFont="1" applyFill="1" applyBorder="1" applyAlignment="1">
      <alignment horizontal="center" vertical="top" wrapText="1" readingOrder="1"/>
    </xf>
    <xf numFmtId="49" fontId="4" fillId="2" borderId="8" xfId="0" applyNumberFormat="1" applyFont="1" applyFill="1" applyBorder="1" applyAlignment="1">
      <alignment horizontal="center" vertical="top" wrapText="1" readingOrder="1"/>
    </xf>
    <xf numFmtId="0" fontId="3" fillId="0" borderId="8" xfId="0" applyNumberFormat="1" applyFont="1" applyBorder="1" applyAlignment="1">
      <alignment horizontal="center" vertical="center" wrapText="1" readingOrder="1"/>
    </xf>
    <xf numFmtId="0" fontId="0" fillId="0" borderId="31" xfId="0" applyNumberFormat="1" applyFont="1" applyBorder="1" applyAlignment="1">
      <alignment horizontal="center" vertical="center" wrapText="1"/>
    </xf>
    <xf numFmtId="164" fontId="0" fillId="0" borderId="31" xfId="0" applyNumberFormat="1" applyFont="1" applyBorder="1" applyAlignment="1">
      <alignment horizontal="center" vertical="center" wrapText="1"/>
    </xf>
    <xf numFmtId="3" fontId="0" fillId="0" borderId="33" xfId="0" applyNumberFormat="1" applyFont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top" wrapText="1" readingOrder="1"/>
    </xf>
    <xf numFmtId="0" fontId="0" fillId="0" borderId="3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35" xfId="0" applyFont="1" applyBorder="1" applyAlignment="1">
      <alignment vertical="top" wrapText="1"/>
    </xf>
    <xf numFmtId="0" fontId="0" fillId="0" borderId="36" xfId="0" applyFont="1" applyBorder="1" applyAlignment="1">
      <alignment vertical="top" wrapText="1"/>
    </xf>
    <xf numFmtId="0" fontId="0" fillId="0" borderId="37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4" fillId="2" borderId="8" xfId="0" applyNumberFormat="1" applyFont="1" applyFill="1" applyBorder="1" applyAlignment="1">
      <alignment horizontal="center" vertical="center" wrapText="1" readingOrder="1"/>
    </xf>
    <xf numFmtId="49" fontId="1" fillId="4" borderId="8" xfId="0" applyNumberFormat="1" applyFont="1" applyFill="1" applyBorder="1" applyAlignment="1">
      <alignment horizontal="center" vertical="top" wrapText="1"/>
    </xf>
    <xf numFmtId="0" fontId="0" fillId="0" borderId="38" xfId="0" applyFont="1" applyBorder="1" applyAlignment="1">
      <alignment vertical="top" wrapText="1"/>
    </xf>
    <xf numFmtId="49" fontId="5" fillId="3" borderId="8" xfId="0" applyNumberFormat="1" applyFont="1" applyFill="1" applyBorder="1" applyAlignment="1">
      <alignment horizontal="center" vertical="center" wrapText="1" readingOrder="1"/>
    </xf>
    <xf numFmtId="1" fontId="0" fillId="0" borderId="11" xfId="0" applyNumberFormat="1" applyFont="1" applyBorder="1" applyAlignment="1">
      <alignment horizontal="center" vertical="center" wrapText="1"/>
    </xf>
    <xf numFmtId="4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30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3F3F3F"/>
      <rgbColor rgb="FF72FCE9"/>
      <rgbColor rgb="FFFEFEFE"/>
      <rgbColor rgb="FF3F3F3F"/>
      <rgbColor rgb="FFA5A5A5"/>
      <rgbColor rgb="FFFEFB66"/>
      <rgbColor rgb="FFD5D5D5"/>
      <rgbColor rgb="FF6F6F6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selection activeCell="J21" sqref="J21"/>
    </sheetView>
  </sheetViews>
  <sheetFormatPr baseColWidth="10" defaultColWidth="16.33203125" defaultRowHeight="20" customHeight="1" x14ac:dyDescent="0.15"/>
  <cols>
    <col min="1" max="7" width="13.5" style="1" customWidth="1"/>
    <col min="8" max="8" width="12.1640625" style="1" customWidth="1"/>
    <col min="9" max="9" width="13.5" style="1" customWidth="1"/>
    <col min="10" max="10" width="16.33203125" style="1" customWidth="1"/>
    <col min="11" max="16384" width="16.33203125" style="1"/>
  </cols>
  <sheetData>
    <row r="1" spans="1:9" ht="25.5" customHeight="1" x14ac:dyDescent="0.15">
      <c r="A1" s="2" t="s">
        <v>44</v>
      </c>
      <c r="B1" s="3"/>
      <c r="C1" s="3"/>
      <c r="D1" s="3"/>
      <c r="E1" s="4"/>
      <c r="F1" s="5"/>
      <c r="G1" s="3"/>
      <c r="H1" s="3"/>
      <c r="I1" s="3"/>
    </row>
    <row r="2" spans="1:9" ht="26" customHeight="1" x14ac:dyDescent="0.15">
      <c r="A2" s="6"/>
      <c r="B2" s="6"/>
      <c r="C2" s="6"/>
      <c r="D2" s="6"/>
      <c r="E2" s="7" t="s">
        <v>0</v>
      </c>
      <c r="F2" s="8"/>
      <c r="G2" s="6"/>
      <c r="H2" s="3"/>
      <c r="I2" s="3"/>
    </row>
    <row r="3" spans="1:9" ht="68.5" customHeight="1" x14ac:dyDescent="0.15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1" t="s">
        <v>7</v>
      </c>
      <c r="H3" s="12"/>
      <c r="I3" s="13"/>
    </row>
    <row r="4" spans="1:9" ht="20.75" customHeight="1" x14ac:dyDescent="0.15">
      <c r="A4" s="14">
        <v>2000</v>
      </c>
      <c r="B4" s="15">
        <v>2000</v>
      </c>
      <c r="C4" s="16">
        <v>24000</v>
      </c>
      <c r="D4" s="16">
        <v>24000</v>
      </c>
      <c r="E4" s="17">
        <v>28000</v>
      </c>
      <c r="F4" s="18">
        <v>28000</v>
      </c>
      <c r="G4" s="66">
        <f>IF((((B4/A4)+(D4/C4)+(F4/E4))/3*25)&lt;0,"0",IF((((B4/A4)+(D4/C4)+(F4/E4))/3*25)&gt;25,"25",(((B4/A4)+(D4/C4)+(F4/E4))/3*25)))</f>
        <v>25</v>
      </c>
      <c r="H4" s="19"/>
      <c r="I4" s="20"/>
    </row>
    <row r="5" spans="1:9" ht="20.5" customHeight="1" x14ac:dyDescent="0.15">
      <c r="A5" s="21"/>
      <c r="B5" s="21"/>
      <c r="C5" s="22"/>
      <c r="D5" s="22"/>
      <c r="E5" s="23"/>
      <c r="F5" s="24"/>
      <c r="G5" s="24"/>
      <c r="H5" s="25"/>
      <c r="I5" s="25"/>
    </row>
    <row r="6" spans="1:9" ht="92.5" customHeight="1" x14ac:dyDescent="0.15">
      <c r="A6" s="10" t="s">
        <v>8</v>
      </c>
      <c r="B6" s="10" t="s">
        <v>9</v>
      </c>
      <c r="C6" s="26" t="s">
        <v>10</v>
      </c>
      <c r="D6" s="10" t="s">
        <v>11</v>
      </c>
      <c r="E6" s="26" t="s">
        <v>12</v>
      </c>
      <c r="F6" s="27"/>
      <c r="G6" s="25"/>
      <c r="H6" s="25"/>
      <c r="I6" s="25"/>
    </row>
    <row r="7" spans="1:9" ht="20.5" customHeight="1" x14ac:dyDescent="0.15">
      <c r="A7" s="28">
        <v>260000</v>
      </c>
      <c r="B7" s="29">
        <v>12000</v>
      </c>
      <c r="C7" s="67">
        <f>IF((25-(B7/A7)/0.1*25)&lt;0,"0",IF((25-(B7/A7)/0.1*25)&gt;25,"25",(25-(B7/A7)/0.1*25)))</f>
        <v>13.461538461538462</v>
      </c>
      <c r="D7" s="30">
        <v>265000</v>
      </c>
      <c r="E7" s="68">
        <f>IF((25+((A7-D7)/A7)*25)&lt;0,"0",IF((25+((A7-D7)/A7)*25)&gt;25,"25",(25+((A7-D7)/A7)*25)))</f>
        <v>24.51923076923077</v>
      </c>
      <c r="F7" s="27"/>
      <c r="G7" s="25"/>
      <c r="H7" s="25"/>
      <c r="I7" s="25"/>
    </row>
    <row r="8" spans="1:9" ht="20.5" customHeight="1" x14ac:dyDescent="0.15">
      <c r="A8" s="23"/>
      <c r="B8" s="23"/>
      <c r="C8" s="23"/>
      <c r="D8" s="24"/>
      <c r="E8" s="31"/>
      <c r="F8" s="25"/>
      <c r="G8" s="25"/>
      <c r="H8" s="25"/>
      <c r="I8" s="25"/>
    </row>
    <row r="9" spans="1:9" ht="80.5" customHeight="1" x14ac:dyDescent="0.15">
      <c r="A9" s="9" t="s">
        <v>13</v>
      </c>
      <c r="B9" s="9" t="s">
        <v>14</v>
      </c>
      <c r="C9" s="26" t="s">
        <v>15</v>
      </c>
      <c r="D9" s="32"/>
      <c r="E9" s="33" t="s">
        <v>16</v>
      </c>
      <c r="F9" s="34"/>
      <c r="G9" s="25"/>
      <c r="H9" s="25"/>
      <c r="I9" s="25"/>
    </row>
    <row r="10" spans="1:9" ht="20.75" customHeight="1" x14ac:dyDescent="0.15">
      <c r="A10" s="16">
        <v>1500000</v>
      </c>
      <c r="B10" s="35">
        <v>10000</v>
      </c>
      <c r="C10" s="68">
        <f>IF((B10/(0.015*A10)*25)&lt;0,"0",IF((B10/(0.015*A10)*25)&gt;25,"25",(B10/(0.015*A10)*25)))</f>
        <v>11.111111111111111</v>
      </c>
      <c r="D10" s="32"/>
      <c r="E10" s="69">
        <f>G4+C7+E7+C10</f>
        <v>74.091880341880341</v>
      </c>
      <c r="F10" s="34"/>
      <c r="G10" s="25"/>
      <c r="H10" s="25"/>
      <c r="I10" s="25"/>
    </row>
    <row r="11" spans="1:9" ht="20.25" customHeight="1" x14ac:dyDescent="0.15">
      <c r="A11" s="36"/>
      <c r="B11" s="36"/>
      <c r="C11" s="24"/>
      <c r="D11" s="25"/>
      <c r="E11" s="37"/>
      <c r="F11" s="25"/>
      <c r="G11" s="25"/>
      <c r="H11" s="25"/>
      <c r="I11" s="25"/>
    </row>
    <row r="12" spans="1:9" ht="26" customHeight="1" x14ac:dyDescent="0.2">
      <c r="A12" s="38"/>
      <c r="B12" s="38"/>
      <c r="C12" s="38"/>
      <c r="D12" s="38"/>
      <c r="E12" s="39" t="s">
        <v>17</v>
      </c>
      <c r="F12" s="40"/>
      <c r="G12" s="38"/>
      <c r="H12" s="38"/>
      <c r="I12" s="38"/>
    </row>
    <row r="13" spans="1:9" ht="80.5" customHeight="1" x14ac:dyDescent="0.15">
      <c r="A13" s="41" t="s">
        <v>48</v>
      </c>
      <c r="B13" s="41" t="s">
        <v>47</v>
      </c>
      <c r="C13" s="41" t="s">
        <v>18</v>
      </c>
      <c r="D13" s="41" t="s">
        <v>19</v>
      </c>
      <c r="E13" s="41" t="s">
        <v>45</v>
      </c>
      <c r="F13" s="42" t="s">
        <v>46</v>
      </c>
      <c r="G13" s="41" t="s">
        <v>20</v>
      </c>
      <c r="H13" s="42" t="s">
        <v>21</v>
      </c>
      <c r="I13" s="43" t="s">
        <v>22</v>
      </c>
    </row>
    <row r="14" spans="1:9" ht="20.75" customHeight="1" x14ac:dyDescent="0.15">
      <c r="A14" s="44">
        <v>110</v>
      </c>
      <c r="B14" s="44">
        <v>25</v>
      </c>
      <c r="C14" s="44">
        <v>120</v>
      </c>
      <c r="D14" s="44">
        <v>0</v>
      </c>
      <c r="E14" s="44">
        <v>130</v>
      </c>
      <c r="F14" s="45">
        <v>0</v>
      </c>
      <c r="G14" s="46">
        <v>140</v>
      </c>
      <c r="H14" s="47">
        <v>0</v>
      </c>
      <c r="I14" s="70">
        <f>IF((((((E14+F14-G14-H14)/(E14+F14))+(2*(C14+D14-E14-F14)/(C14+D14))+(3*(A14+B14-C14-D14)/(A14+B14)))/6/0.05*14.29))&lt;0,"0",IF((((((E14+F14-G14-H14)/(E14+F14))+(2*(C14+D14-E14-F14)/(C14+D14))+(3*(A14+B14-C14-D14)/(A14+B14)))/6/0.05*14.29))&gt;14.29,"14.29",(((((E14+F14-G14-H14)/(E14+F14))+(2*(C14+D14-E14-F14)/(C14+D14))+(3*(A14+B14-C14-D14)/(A14+B14)))/6/0.05*14.29))))</f>
        <v>4.2747863247863238</v>
      </c>
    </row>
    <row r="15" spans="1:9" ht="20.5" customHeight="1" x14ac:dyDescent="0.15">
      <c r="A15" s="21"/>
      <c r="B15" s="21"/>
      <c r="C15" s="21"/>
      <c r="D15" s="21"/>
      <c r="E15" s="21"/>
      <c r="F15" s="21"/>
      <c r="G15" s="22"/>
      <c r="H15" s="22"/>
      <c r="I15" s="24"/>
    </row>
    <row r="16" spans="1:9" ht="148" customHeight="1" x14ac:dyDescent="0.15">
      <c r="A16" s="48" t="s">
        <v>23</v>
      </c>
      <c r="B16" s="49" t="s">
        <v>24</v>
      </c>
      <c r="C16" s="48" t="s">
        <v>25</v>
      </c>
      <c r="D16" s="49" t="s">
        <v>26</v>
      </c>
      <c r="E16" s="48" t="s">
        <v>27</v>
      </c>
      <c r="F16" s="49" t="s">
        <v>28</v>
      </c>
      <c r="G16" s="48" t="s">
        <v>29</v>
      </c>
      <c r="H16" s="49" t="s">
        <v>30</v>
      </c>
      <c r="I16" s="27"/>
    </row>
    <row r="17" spans="1:9" ht="20.5" customHeight="1" x14ac:dyDescent="0.15">
      <c r="A17" s="50">
        <v>10</v>
      </c>
      <c r="B17" s="68">
        <f>IF(((A17/(A14))/0.15*14.29)&lt;0,"0",IF(((A17/(A14))/0.15*14.29)&gt;14.29,"14.29",((A17/(A14))/0.15*14.29)))</f>
        <v>8.6606060606060602</v>
      </c>
      <c r="C17" s="51">
        <v>35</v>
      </c>
      <c r="D17" s="71">
        <f>IF(((C17)/A14/0.5*14.29)&lt;0,"0",IF(((C17)/A14/0.5*14.29)&gt;14.29,"14.29",((C17)/A14/0.5*14.29)))</f>
        <v>9.0936363636363637</v>
      </c>
      <c r="E17" s="52">
        <v>12000</v>
      </c>
      <c r="F17" s="72">
        <f>IF(((E17/A7)/0.1*14.29)&lt;0,"0",IF(((E17/A7)/0.1*14.29)&gt;14.29,"14.29",((E17/A7)/0.1*14.29)))</f>
        <v>6.5953846153846154</v>
      </c>
      <c r="G17" s="53">
        <v>10</v>
      </c>
      <c r="H17" s="71">
        <f>IF(((G17/A14)/0.1*14.29)&lt;0,"0",IF(((G17/A14)/0.1*14.29)&gt;14.29,"14.29",((G17/A14)/0.1*14.29)))</f>
        <v>12.99090909090909</v>
      </c>
      <c r="I17" s="27"/>
    </row>
    <row r="18" spans="1:9" ht="20.5" customHeight="1" x14ac:dyDescent="0.15">
      <c r="A18" s="23"/>
      <c r="B18" s="23"/>
      <c r="C18" s="23"/>
      <c r="D18" s="23"/>
      <c r="E18" s="23"/>
      <c r="F18" s="23"/>
      <c r="G18" s="23"/>
      <c r="H18" s="24"/>
      <c r="I18" s="25"/>
    </row>
    <row r="19" spans="1:9" ht="128.5" customHeight="1" x14ac:dyDescent="0.15">
      <c r="A19" s="54" t="s">
        <v>31</v>
      </c>
      <c r="B19" s="54" t="s">
        <v>32</v>
      </c>
      <c r="C19" s="54" t="s">
        <v>33</v>
      </c>
      <c r="D19" s="54" t="s">
        <v>34</v>
      </c>
      <c r="E19" s="42" t="s">
        <v>35</v>
      </c>
      <c r="F19" s="42" t="s">
        <v>36</v>
      </c>
      <c r="G19" s="26" t="s">
        <v>37</v>
      </c>
      <c r="H19" s="27"/>
      <c r="I19" s="25"/>
    </row>
    <row r="20" spans="1:9" ht="20.75" customHeight="1" x14ac:dyDescent="0.15">
      <c r="A20" s="44">
        <v>6</v>
      </c>
      <c r="B20" s="44">
        <v>1</v>
      </c>
      <c r="C20" s="44">
        <v>0</v>
      </c>
      <c r="D20" s="44">
        <v>4</v>
      </c>
      <c r="E20" s="44">
        <v>4</v>
      </c>
      <c r="F20" s="55">
        <v>3</v>
      </c>
      <c r="G20" s="73" t="str">
        <f>IF(((((A20+B20)/A14)+((C20+D20)/C14)+((E20+F20)/E14))/3/0.05*14.29)&lt;0,"0",IF(((((A20+B20)/A14)+((C20+D20)/C14)+((E20+F20)/E14))/3/0.05*14.29)&gt;14.29,"14.29",((((A20+B20)/A14)+((C20+D20)/C14)+((E20+F20)/E14))/3/0.05*14.29)))</f>
        <v>14.29</v>
      </c>
      <c r="H20" s="27"/>
      <c r="I20" s="56"/>
    </row>
    <row r="21" spans="1:9" ht="20.5" customHeight="1" x14ac:dyDescent="0.15">
      <c r="A21" s="21"/>
      <c r="B21" s="21"/>
      <c r="C21" s="57"/>
      <c r="D21" s="58"/>
      <c r="E21" s="21"/>
      <c r="F21" s="59"/>
      <c r="G21" s="23"/>
      <c r="H21" s="60"/>
      <c r="I21" s="25"/>
    </row>
    <row r="22" spans="1:9" ht="91" customHeight="1" x14ac:dyDescent="0.15">
      <c r="A22" s="54" t="s">
        <v>38</v>
      </c>
      <c r="B22" s="54" t="s">
        <v>39</v>
      </c>
      <c r="C22" s="54" t="s">
        <v>40</v>
      </c>
      <c r="D22" s="61" t="s">
        <v>41</v>
      </c>
      <c r="E22" s="62" t="s">
        <v>42</v>
      </c>
      <c r="F22" s="63"/>
      <c r="G22" s="64" t="s">
        <v>43</v>
      </c>
      <c r="H22" s="75">
        <f>E10+E23</f>
        <v>137.84726495726494</v>
      </c>
      <c r="I22" s="27"/>
    </row>
    <row r="23" spans="1:9" ht="20.75" customHeight="1" x14ac:dyDescent="0.15">
      <c r="A23" s="65">
        <v>3</v>
      </c>
      <c r="B23" s="46">
        <v>2</v>
      </c>
      <c r="C23" s="47">
        <v>5</v>
      </c>
      <c r="D23" s="70">
        <f>IF((((A23/A14)+(B23/C14)+(C23/E14))/3/0.05*14.29)&lt;0,"0",IF((((A23/A14)+(B23/C14)+(C23/E14))/3/0.05*14.29)&gt;14.29,"14.29",(((A23/A14)+(B23/C14)+(C23/E14))/3/0.05*14.29)))</f>
        <v>7.8500621600621612</v>
      </c>
      <c r="E23" s="74">
        <f>I14+B17+D17+F17+H17+G20+D23</f>
        <v>63.755384615384614</v>
      </c>
      <c r="F23" s="27"/>
      <c r="G23" s="24"/>
      <c r="H23" s="24"/>
      <c r="I23" s="56"/>
    </row>
  </sheetData>
  <pageMargins left="0.25" right="0.25" top="0.25" bottom="0.25" header="0" footer="0"/>
  <pageSetup scale="73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Church_  ABC Church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2022-07-04T15:36:45Z</dcterms:created>
  <dcterms:modified xsi:type="dcterms:W3CDTF">2022-07-27T15:35:41Z</dcterms:modified>
</cp:coreProperties>
</file>